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5" activeTab="0"/>
  </bookViews>
  <sheets>
    <sheet name="IMPORTI E PRATICHE" sheetId="1" r:id="rId1"/>
    <sheet name="COSTI ANNUI" sheetId="2" r:id="rId2"/>
    <sheet name="RICAVI ANNUI" sheetId="3" r:id="rId3"/>
    <sheet name="COSTI E RICAVI" sheetId="4" r:id="rId4"/>
    <sheet name="CASH FLOW" sheetId="5" r:id="rId5"/>
  </sheets>
  <definedNames/>
  <calcPr fullCalcOnLoad="1"/>
</workbook>
</file>

<file path=xl/sharedStrings.xml><?xml version="1.0" encoding="utf-8"?>
<sst xmlns="http://schemas.openxmlformats.org/spreadsheetml/2006/main" count="71" uniqueCount="62">
  <si>
    <t>ANNI DI CONCESSIONE</t>
  </si>
  <si>
    <t>IMPORTO TOTALE DA RISCUOTERE</t>
  </si>
  <si>
    <r>
      <t xml:space="preserve">IMPORTO </t>
    </r>
    <r>
      <rPr>
        <sz val="11"/>
        <color indexed="10"/>
        <rFont val="Calibri"/>
        <family val="2"/>
      </rPr>
      <t>ANNUO</t>
    </r>
    <r>
      <rPr>
        <sz val="11"/>
        <color theme="1"/>
        <rFont val="Calibri"/>
        <family val="2"/>
      </rPr>
      <t xml:space="preserve"> DA RISCUOTERE</t>
    </r>
  </si>
  <si>
    <t>ENTRATA</t>
  </si>
  <si>
    <t>IMU/ICI</t>
  </si>
  <si>
    <t>TARSU/TARES/TARI</t>
  </si>
  <si>
    <t>TASI</t>
  </si>
  <si>
    <t>CDS SANZIONI</t>
  </si>
  <si>
    <t>BUONI MENSA</t>
  </si>
  <si>
    <t>TRASPORTO</t>
  </si>
  <si>
    <t>ONERI URBANIZZAZIONE</t>
  </si>
  <si>
    <t>ALTRA</t>
  </si>
  <si>
    <t>TOTALE</t>
  </si>
  <si>
    <r>
      <t xml:space="preserve">IMPORTO </t>
    </r>
    <r>
      <rPr>
        <sz val="11"/>
        <color indexed="10"/>
        <rFont val="Calibri"/>
        <family val="2"/>
      </rPr>
      <t>ANNUO</t>
    </r>
  </si>
  <si>
    <t>VALORE MEDIO</t>
  </si>
  <si>
    <r>
      <t xml:space="preserve">NUM. </t>
    </r>
    <r>
      <rPr>
        <sz val="11"/>
        <color indexed="10"/>
        <rFont val="Calibri"/>
        <family val="2"/>
      </rPr>
      <t>ANNUO</t>
    </r>
    <r>
      <rPr>
        <sz val="11"/>
        <color theme="1"/>
        <rFont val="Calibri"/>
        <family val="2"/>
      </rPr>
      <t xml:space="preserve"> PRATICHE</t>
    </r>
  </si>
  <si>
    <t>N. PRATICHE</t>
  </si>
  <si>
    <t>COSTO PRATICA</t>
  </si>
  <si>
    <t>COSTI POSTALI</t>
  </si>
  <si>
    <t>COSTI PERSONALE</t>
  </si>
  <si>
    <t>UTILE</t>
  </si>
  <si>
    <t>TOTALE COSTI ANNUI</t>
  </si>
  <si>
    <t>UFFICIO LOCALE</t>
  </si>
  <si>
    <t>PERSONALE FRONT OFFICE</t>
  </si>
  <si>
    <t>X</t>
  </si>
  <si>
    <t>SI*</t>
  </si>
  <si>
    <t>Per sceglieri SI scrivere X nella cella azzurra</t>
  </si>
  <si>
    <t>TOTALE COSTI ANNUI CON UFFICIO E PERSONALE</t>
  </si>
  <si>
    <t>AGGIO</t>
  </si>
  <si>
    <t>INCASSO STIMATO</t>
  </si>
  <si>
    <t>RICAVI</t>
  </si>
  <si>
    <t>IMPORTO INCASSO</t>
  </si>
  <si>
    <t>FISSO A PRATICA</t>
  </si>
  <si>
    <t>RECUPERO SPESE DI NOTIFICA D.M. 2012 DA DEBITORI</t>
  </si>
  <si>
    <t>Per scegliere SI immettere una X nella cella azzurra</t>
  </si>
  <si>
    <t>RECUPERO SPESE PROCEDURA D.M. 2000 DA DEBITORI</t>
  </si>
  <si>
    <t>RECUPERO SPESE DI NOTIFICA D.M. 2012 DA ENTE PER INESIGIBILI</t>
  </si>
  <si>
    <t>RECUPERO SPESE PROCEDURE D.M. 2000 DA ENTE PER INESIGIBILI</t>
  </si>
  <si>
    <t>TOTLAE ANNUO RICAVI</t>
  </si>
  <si>
    <t>RICAVI PER TUTTO IL PERIODO DELLA CONCESSIONE</t>
  </si>
  <si>
    <t>VERIFICA EQUILIBRIO ECONOMICO FINANZIARIO</t>
  </si>
  <si>
    <t>COSTI PER TUTTO IL PERIODO DELLA CONCESSIONE</t>
  </si>
  <si>
    <t>VALORE DELLA CONCESSIONE</t>
  </si>
  <si>
    <t>*QUOTA A CARICO ENTE</t>
  </si>
  <si>
    <t>*Aggio previsto a carico dell'Ente</t>
  </si>
  <si>
    <t>QUOTA A CARICO DEBITORI</t>
  </si>
  <si>
    <t>ANNI</t>
  </si>
  <si>
    <t xml:space="preserve">PERIODO DI RECUPERO INVESTIMENTI </t>
  </si>
  <si>
    <t>1° ANNO</t>
  </si>
  <si>
    <t>2° ANNO</t>
  </si>
  <si>
    <t>3° ANNO</t>
  </si>
  <si>
    <t>COSTI GENERALI E FINANZIARI</t>
  </si>
  <si>
    <t>COSTI UFFICIO E PERSONALE FRONT OFFICE</t>
  </si>
  <si>
    <t>ALTRI COSTI</t>
  </si>
  <si>
    <t>ANDAMENTO DEI COSTI</t>
  </si>
  <si>
    <t>ANDAMENTO DEI RICAVI</t>
  </si>
  <si>
    <t>EQUILIBRIO ECONOMICO FINANZIARIO</t>
  </si>
  <si>
    <t>La cella B9 deve essere prossima allo zero in quanto i costi generali e l'utile aziendale è stato già inserito</t>
  </si>
  <si>
    <t xml:space="preserve">Modificare le celle azzurre al fine di conseguire l'equilibrio economico finanziario e per inseirire o disinserire i costi dell'ufficio e del personale presso l'ufficio </t>
  </si>
  <si>
    <t>Le celle da C6 a C13 sono impostate su valori medi stimati a pratica. Se i valori sono conosciuti dall'Ente è possibile inserire i valori esatti sbloccando le celle</t>
  </si>
  <si>
    <t>La cella E22 deve essere di valore prossimo allo zero in quanto nei costi sono stati già considerati i costi generali e l'utile aziendale</t>
  </si>
  <si>
    <t xml:space="preserve">Le celle da popolare sono solo quelle colorate in azzurro. Le altre celle sono bloccate da password.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</si>
</sst>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59" applyFon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44" fontId="0" fillId="0" borderId="12" xfId="59" applyFont="1" applyBorder="1" applyAlignment="1">
      <alignment/>
    </xf>
    <xf numFmtId="44" fontId="0" fillId="0" borderId="0" xfId="59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4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26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1" fontId="2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4" fontId="0" fillId="0" borderId="0" xfId="0" applyNumberFormat="1" applyBorder="1" applyAlignment="1">
      <alignment/>
    </xf>
    <xf numFmtId="9" fontId="0" fillId="0" borderId="0" xfId="59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16" xfId="59" applyFont="1" applyBorder="1" applyAlignment="1">
      <alignment/>
    </xf>
    <xf numFmtId="10" fontId="0" fillId="0" borderId="0" xfId="0" applyNumberFormat="1" applyAlignment="1">
      <alignment/>
    </xf>
    <xf numFmtId="0" fontId="35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0" fontId="0" fillId="0" borderId="0" xfId="0" applyNumberFormat="1" applyBorder="1" applyAlignment="1">
      <alignment/>
    </xf>
    <xf numFmtId="44" fontId="0" fillId="0" borderId="14" xfId="0" applyNumberFormat="1" applyFill="1" applyBorder="1" applyAlignment="1">
      <alignment horizontal="center"/>
    </xf>
    <xf numFmtId="44" fontId="0" fillId="0" borderId="14" xfId="59" applyFont="1" applyBorder="1" applyAlignment="1">
      <alignment/>
    </xf>
    <xf numFmtId="44" fontId="0" fillId="0" borderId="14" xfId="0" applyNumberFormat="1" applyBorder="1" applyAlignment="1">
      <alignment/>
    </xf>
    <xf numFmtId="9" fontId="0" fillId="0" borderId="0" xfId="48" applyFont="1" applyAlignment="1">
      <alignment horizontal="center"/>
    </xf>
    <xf numFmtId="0" fontId="0" fillId="33" borderId="0" xfId="0" applyFill="1" applyAlignment="1">
      <alignment horizontal="center"/>
    </xf>
    <xf numFmtId="0" fontId="0" fillId="14" borderId="11" xfId="0" applyFill="1" applyBorder="1" applyAlignment="1" applyProtection="1">
      <alignment horizontal="center"/>
      <protection locked="0"/>
    </xf>
    <xf numFmtId="0" fontId="0" fillId="14" borderId="0" xfId="0" applyFill="1" applyBorder="1" applyAlignment="1" applyProtection="1">
      <alignment horizontal="center"/>
      <protection locked="0"/>
    </xf>
    <xf numFmtId="10" fontId="0" fillId="14" borderId="14" xfId="0" applyNumberFormat="1" applyFill="1" applyBorder="1" applyAlignment="1" applyProtection="1">
      <alignment horizontal="center"/>
      <protection locked="0"/>
    </xf>
    <xf numFmtId="0" fontId="0" fillId="14" borderId="14" xfId="0" applyFill="1" applyBorder="1" applyAlignment="1" applyProtection="1">
      <alignment/>
      <protection locked="0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44" fontId="0" fillId="14" borderId="0" xfId="59" applyFont="1" applyFill="1" applyBorder="1" applyAlignment="1" applyProtection="1">
      <alignment/>
      <protection/>
    </xf>
    <xf numFmtId="44" fontId="0" fillId="0" borderId="0" xfId="59" applyFont="1" applyBorder="1" applyAlignment="1" applyProtection="1">
      <alignment/>
      <protection/>
    </xf>
    <xf numFmtId="0" fontId="0" fillId="14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1.421875" style="0" bestFit="1" customWidth="1"/>
    <col min="2" max="2" width="19.28125" style="0" customWidth="1"/>
    <col min="3" max="3" width="13.8515625" style="0" bestFit="1" customWidth="1"/>
    <col min="4" max="4" width="21.421875" style="0" bestFit="1" customWidth="1"/>
    <col min="5" max="5" width="16.57421875" style="0" customWidth="1"/>
    <col min="7" max="7" width="20.140625" style="0" customWidth="1"/>
    <col min="10" max="10" width="19.00390625" style="0" customWidth="1"/>
  </cols>
  <sheetData>
    <row r="2" spans="1:7" ht="15">
      <c r="A2" s="4" t="s">
        <v>0</v>
      </c>
      <c r="B2" s="33">
        <v>3</v>
      </c>
      <c r="C2" s="5" t="s">
        <v>1</v>
      </c>
      <c r="D2" s="5"/>
      <c r="E2" s="5"/>
      <c r="F2" s="5"/>
      <c r="G2" s="6">
        <f>E3*B2</f>
        <v>4254000</v>
      </c>
    </row>
    <row r="3" spans="1:7" ht="15">
      <c r="A3" s="37" t="s">
        <v>2</v>
      </c>
      <c r="B3" s="38"/>
      <c r="C3" s="38"/>
      <c r="D3" s="38"/>
      <c r="E3" s="7">
        <f>B14</f>
        <v>1418000</v>
      </c>
      <c r="F3" s="8"/>
      <c r="G3" s="9"/>
    </row>
    <row r="4" spans="1:7" ht="15">
      <c r="A4" s="10"/>
      <c r="B4" s="8"/>
      <c r="C4" s="8"/>
      <c r="D4" s="8"/>
      <c r="E4" s="8"/>
      <c r="F4" s="8"/>
      <c r="G4" s="9"/>
    </row>
    <row r="5" spans="1:7" ht="15">
      <c r="A5" s="10" t="s">
        <v>3</v>
      </c>
      <c r="B5" s="8" t="s">
        <v>13</v>
      </c>
      <c r="C5" s="8" t="s">
        <v>14</v>
      </c>
      <c r="D5" s="8" t="s">
        <v>15</v>
      </c>
      <c r="E5" s="8"/>
      <c r="F5" s="8"/>
      <c r="G5" s="9"/>
    </row>
    <row r="6" spans="1:7" ht="15">
      <c r="A6" s="10" t="s">
        <v>4</v>
      </c>
      <c r="B6" s="40">
        <v>300000</v>
      </c>
      <c r="C6" s="7">
        <v>500</v>
      </c>
      <c r="D6" s="11">
        <f>B6/C6</f>
        <v>600</v>
      </c>
      <c r="E6" s="8"/>
      <c r="F6" s="8"/>
      <c r="G6" s="9"/>
    </row>
    <row r="7" spans="1:7" ht="15">
      <c r="A7" s="10" t="s">
        <v>5</v>
      </c>
      <c r="B7" s="40">
        <v>500000</v>
      </c>
      <c r="C7" s="7">
        <v>280</v>
      </c>
      <c r="D7" s="11">
        <f aca="true" t="shared" si="0" ref="D7:D13">B7/C7</f>
        <v>1785.7142857142858</v>
      </c>
      <c r="E7" s="8"/>
      <c r="F7" s="8"/>
      <c r="G7" s="9"/>
    </row>
    <row r="8" spans="1:7" ht="15">
      <c r="A8" s="10" t="s">
        <v>6</v>
      </c>
      <c r="B8" s="40">
        <v>200000</v>
      </c>
      <c r="C8" s="7">
        <v>80</v>
      </c>
      <c r="D8" s="11">
        <f t="shared" si="0"/>
        <v>2500</v>
      </c>
      <c r="E8" s="8"/>
      <c r="F8" s="8"/>
      <c r="G8" s="9"/>
    </row>
    <row r="9" spans="1:7" ht="15">
      <c r="A9" s="10" t="s">
        <v>7</v>
      </c>
      <c r="B9" s="40">
        <v>250000</v>
      </c>
      <c r="C9" s="7">
        <v>250</v>
      </c>
      <c r="D9" s="11">
        <f t="shared" si="0"/>
        <v>1000</v>
      </c>
      <c r="E9" s="8"/>
      <c r="F9" s="8"/>
      <c r="G9" s="9"/>
    </row>
    <row r="10" spans="1:7" ht="15">
      <c r="A10" s="10" t="s">
        <v>8</v>
      </c>
      <c r="B10" s="40">
        <v>10000</v>
      </c>
      <c r="C10" s="7">
        <v>50</v>
      </c>
      <c r="D10" s="11">
        <f t="shared" si="0"/>
        <v>200</v>
      </c>
      <c r="E10" s="8"/>
      <c r="F10" s="8"/>
      <c r="G10" s="9"/>
    </row>
    <row r="11" spans="1:7" ht="15">
      <c r="A11" s="10" t="s">
        <v>9</v>
      </c>
      <c r="B11" s="40">
        <v>120000</v>
      </c>
      <c r="C11" s="7">
        <v>50</v>
      </c>
      <c r="D11" s="11">
        <f t="shared" si="0"/>
        <v>2400</v>
      </c>
      <c r="E11" s="8"/>
      <c r="F11" s="8"/>
      <c r="G11" s="9"/>
    </row>
    <row r="12" spans="1:7" ht="15">
      <c r="A12" s="10" t="s">
        <v>10</v>
      </c>
      <c r="B12" s="40">
        <v>15000</v>
      </c>
      <c r="C12" s="7">
        <v>1000</v>
      </c>
      <c r="D12" s="11">
        <f t="shared" si="0"/>
        <v>15</v>
      </c>
      <c r="E12" s="8"/>
      <c r="F12" s="8"/>
      <c r="G12" s="9"/>
    </row>
    <row r="13" spans="1:7" ht="15">
      <c r="A13" s="10" t="s">
        <v>11</v>
      </c>
      <c r="B13" s="40">
        <v>23000</v>
      </c>
      <c r="C13" s="7">
        <v>50</v>
      </c>
      <c r="D13" s="11">
        <f t="shared" si="0"/>
        <v>460</v>
      </c>
      <c r="E13" s="8"/>
      <c r="F13" s="8"/>
      <c r="G13" s="9"/>
    </row>
    <row r="14" spans="1:7" ht="15">
      <c r="A14" s="12" t="s">
        <v>12</v>
      </c>
      <c r="B14" s="13">
        <f>SUM(B6:B13)</f>
        <v>1418000</v>
      </c>
      <c r="C14" s="14"/>
      <c r="D14" s="15">
        <f>SUM(D6:D13)</f>
        <v>8960.714285714286</v>
      </c>
      <c r="E14" s="14"/>
      <c r="F14" s="14"/>
      <c r="G14" s="16"/>
    </row>
    <row r="16" ht="15">
      <c r="A16" t="s">
        <v>61</v>
      </c>
    </row>
    <row r="17" ht="15">
      <c r="A17" t="s">
        <v>59</v>
      </c>
    </row>
  </sheetData>
  <sheetProtection password="F152" sheet="1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4"/>
  <sheetViews>
    <sheetView workbookViewId="0" topLeftCell="A1">
      <selection activeCell="C10" sqref="C10"/>
    </sheetView>
  </sheetViews>
  <sheetFormatPr defaultColWidth="9.140625" defaultRowHeight="15"/>
  <cols>
    <col min="2" max="2" width="27.8515625" style="0" customWidth="1"/>
    <col min="3" max="3" width="19.00390625" style="0" customWidth="1"/>
    <col min="4" max="4" width="18.57421875" style="0" customWidth="1"/>
  </cols>
  <sheetData>
    <row r="2" spans="2:10" ht="15">
      <c r="B2" s="17"/>
      <c r="C2" s="5" t="s">
        <v>17</v>
      </c>
      <c r="D2" s="39" t="s">
        <v>16</v>
      </c>
      <c r="E2" s="39"/>
      <c r="F2" s="18">
        <f>'IMPORTI E PRATICHE'!D14</f>
        <v>8960.714285714286</v>
      </c>
      <c r="G2" s="5"/>
      <c r="H2" s="5"/>
      <c r="I2" s="5"/>
      <c r="J2" s="19"/>
    </row>
    <row r="3" spans="2:10" ht="15">
      <c r="B3" s="10" t="s">
        <v>18</v>
      </c>
      <c r="C3" s="7">
        <v>20</v>
      </c>
      <c r="D3" s="20">
        <f>C3*F2</f>
        <v>179214.28571428574</v>
      </c>
      <c r="E3" s="8"/>
      <c r="F3" s="8"/>
      <c r="G3" s="8"/>
      <c r="H3" s="8"/>
      <c r="I3" s="8"/>
      <c r="J3" s="9"/>
    </row>
    <row r="4" spans="2:10" ht="15">
      <c r="B4" s="10" t="s">
        <v>19</v>
      </c>
      <c r="C4" s="7">
        <v>8</v>
      </c>
      <c r="D4" s="20">
        <f>C4*F2</f>
        <v>71685.71428571429</v>
      </c>
      <c r="E4" s="8"/>
      <c r="F4" s="8"/>
      <c r="G4" s="8"/>
      <c r="H4" s="8"/>
      <c r="I4" s="8"/>
      <c r="J4" s="9"/>
    </row>
    <row r="5" spans="2:10" ht="15">
      <c r="B5" s="10" t="s">
        <v>51</v>
      </c>
      <c r="C5" s="21">
        <v>0.2</v>
      </c>
      <c r="D5" s="7">
        <f>(D3+D4)*C5</f>
        <v>50180.00000000001</v>
      </c>
      <c r="E5" s="8"/>
      <c r="F5" s="8"/>
      <c r="G5" s="8"/>
      <c r="H5" s="8"/>
      <c r="I5" s="8"/>
      <c r="J5" s="9"/>
    </row>
    <row r="6" spans="2:10" ht="15">
      <c r="B6" s="10" t="s">
        <v>20</v>
      </c>
      <c r="C6" s="21">
        <v>0.1</v>
      </c>
      <c r="D6" s="7">
        <f>(D3+D4+D5)*C6</f>
        <v>30108.000000000007</v>
      </c>
      <c r="E6" s="8"/>
      <c r="F6" s="8"/>
      <c r="G6" s="8"/>
      <c r="H6" s="8"/>
      <c r="I6" s="8"/>
      <c r="J6" s="9"/>
    </row>
    <row r="7" spans="2:10" ht="15">
      <c r="B7" s="10" t="s">
        <v>21</v>
      </c>
      <c r="C7" s="8"/>
      <c r="D7" s="20">
        <f>SUM(D3:D6)</f>
        <v>331188.00000000006</v>
      </c>
      <c r="E7" s="8"/>
      <c r="F7" s="8"/>
      <c r="G7" s="8"/>
      <c r="H7" s="8"/>
      <c r="I7" s="8"/>
      <c r="J7" s="9"/>
    </row>
    <row r="8" spans="2:10" ht="15">
      <c r="B8" s="10"/>
      <c r="C8" s="8"/>
      <c r="D8" s="8"/>
      <c r="E8" s="8"/>
      <c r="F8" s="8"/>
      <c r="G8" s="8"/>
      <c r="H8" s="8"/>
      <c r="I8" s="8"/>
      <c r="J8" s="9"/>
    </row>
    <row r="9" spans="2:10" ht="15">
      <c r="B9" s="10"/>
      <c r="C9" s="8"/>
      <c r="D9" s="8"/>
      <c r="E9" s="22" t="s">
        <v>25</v>
      </c>
      <c r="F9" s="25" t="s">
        <v>26</v>
      </c>
      <c r="G9" s="8"/>
      <c r="H9" s="8"/>
      <c r="I9" s="8"/>
      <c r="J9" s="9"/>
    </row>
    <row r="10" spans="2:10" ht="15">
      <c r="B10" s="10" t="s">
        <v>22</v>
      </c>
      <c r="C10" s="40">
        <v>1200</v>
      </c>
      <c r="D10" s="41">
        <f>IF(E10="x",C10,0)</f>
        <v>1200</v>
      </c>
      <c r="E10" s="42" t="s">
        <v>24</v>
      </c>
      <c r="F10" s="8"/>
      <c r="G10" s="8"/>
      <c r="H10" s="8"/>
      <c r="I10" s="8"/>
      <c r="J10" s="9"/>
    </row>
    <row r="11" spans="2:10" ht="15">
      <c r="B11" s="10"/>
      <c r="C11" s="43"/>
      <c r="D11" s="43"/>
      <c r="E11" s="43"/>
      <c r="F11" s="8"/>
      <c r="G11" s="8"/>
      <c r="H11" s="8"/>
      <c r="I11" s="8"/>
      <c r="J11" s="9"/>
    </row>
    <row r="12" spans="2:10" ht="15">
      <c r="B12" s="10" t="s">
        <v>23</v>
      </c>
      <c r="C12" s="40">
        <v>8000</v>
      </c>
      <c r="D12" s="41">
        <f>IF(E12="x",C12,0)</f>
        <v>8000</v>
      </c>
      <c r="E12" s="42" t="s">
        <v>24</v>
      </c>
      <c r="F12" s="8"/>
      <c r="G12" s="8"/>
      <c r="H12" s="8"/>
      <c r="I12" s="8"/>
      <c r="J12" s="9"/>
    </row>
    <row r="13" spans="2:10" ht="15">
      <c r="B13" s="10"/>
      <c r="C13" s="8"/>
      <c r="D13" s="8"/>
      <c r="E13" s="8"/>
      <c r="F13" s="8"/>
      <c r="G13" s="8"/>
      <c r="H13" s="8"/>
      <c r="I13" s="8"/>
      <c r="J13" s="9"/>
    </row>
    <row r="14" spans="2:10" ht="15">
      <c r="B14" s="12" t="s">
        <v>27</v>
      </c>
      <c r="C14" s="14"/>
      <c r="D14" s="23">
        <f>D7+D10+D12</f>
        <v>340388.00000000006</v>
      </c>
      <c r="E14" s="14"/>
      <c r="F14" s="14"/>
      <c r="G14" s="14"/>
      <c r="H14" s="14"/>
      <c r="I14" s="14"/>
      <c r="J14" s="16"/>
    </row>
  </sheetData>
  <sheetProtection/>
  <mergeCells count="1"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4">
      <selection activeCell="I15" sqref="I15"/>
    </sheetView>
  </sheetViews>
  <sheetFormatPr defaultColWidth="9.140625" defaultRowHeight="15"/>
  <cols>
    <col min="2" max="2" width="14.57421875" style="0" customWidth="1"/>
    <col min="3" max="3" width="16.421875" style="0" bestFit="1" customWidth="1"/>
    <col min="4" max="4" width="16.7109375" style="0" bestFit="1" customWidth="1"/>
    <col min="6" max="6" width="12.57421875" style="0" bestFit="1" customWidth="1"/>
  </cols>
  <sheetData>
    <row r="2" spans="2:10" ht="15">
      <c r="B2" s="26" t="s">
        <v>28</v>
      </c>
      <c r="C2" s="5" t="s">
        <v>29</v>
      </c>
      <c r="D2" s="5" t="s">
        <v>31</v>
      </c>
      <c r="E2" s="5"/>
      <c r="F2" s="5" t="s">
        <v>30</v>
      </c>
      <c r="G2" s="5"/>
      <c r="H2" s="5"/>
      <c r="I2" s="5"/>
      <c r="J2" s="19"/>
    </row>
    <row r="3" spans="2:10" ht="15">
      <c r="B3" s="35">
        <v>0.08</v>
      </c>
      <c r="C3" s="27">
        <v>0.45</v>
      </c>
      <c r="D3" s="20">
        <f>'IMPORTI E PRATICHE'!B14*C3</f>
        <v>638100</v>
      </c>
      <c r="E3" s="8"/>
      <c r="F3" s="20">
        <f>D3*B3</f>
        <v>51048</v>
      </c>
      <c r="G3" s="8"/>
      <c r="H3" s="8"/>
      <c r="I3" s="8"/>
      <c r="J3" s="9"/>
    </row>
    <row r="4" spans="2:10" ht="15">
      <c r="B4" s="10"/>
      <c r="C4" s="8"/>
      <c r="D4" s="8"/>
      <c r="E4" s="8"/>
      <c r="F4" s="8"/>
      <c r="G4" s="8"/>
      <c r="H4" s="8"/>
      <c r="I4" s="8"/>
      <c r="J4" s="9"/>
    </row>
    <row r="5" spans="2:10" ht="15">
      <c r="B5" s="10" t="s">
        <v>32</v>
      </c>
      <c r="C5" s="8"/>
      <c r="D5" s="8"/>
      <c r="E5" s="8"/>
      <c r="F5" s="8"/>
      <c r="G5" s="8"/>
      <c r="H5" s="8"/>
      <c r="I5" s="8"/>
      <c r="J5" s="9"/>
    </row>
    <row r="6" spans="2:10" ht="15">
      <c r="B6" s="36">
        <v>0</v>
      </c>
      <c r="C6" s="8"/>
      <c r="D6" s="8"/>
      <c r="E6" s="8"/>
      <c r="F6" s="7">
        <f>'IMPORTI E PRATICHE'!D14*B6</f>
        <v>0</v>
      </c>
      <c r="G6" s="8"/>
      <c r="H6" s="8"/>
      <c r="I6" s="8"/>
      <c r="J6" s="9"/>
    </row>
    <row r="7" spans="2:10" ht="15">
      <c r="B7" s="10"/>
      <c r="C7" s="8"/>
      <c r="D7" s="8"/>
      <c r="E7" s="8"/>
      <c r="F7" s="8"/>
      <c r="G7" s="25" t="s">
        <v>34</v>
      </c>
      <c r="H7" s="8"/>
      <c r="I7" s="8"/>
      <c r="J7" s="9"/>
    </row>
    <row r="8" spans="2:10" ht="15">
      <c r="B8" s="10" t="s">
        <v>33</v>
      </c>
      <c r="C8" s="8"/>
      <c r="D8" s="8"/>
      <c r="E8" s="8"/>
      <c r="F8" s="8"/>
      <c r="G8" s="22" t="s">
        <v>25</v>
      </c>
      <c r="H8" s="8"/>
      <c r="I8" s="8"/>
      <c r="J8" s="9"/>
    </row>
    <row r="9" spans="2:10" ht="15">
      <c r="B9" s="28">
        <f>'COSTI ANNUI'!D3*C3</f>
        <v>80646.42857142858</v>
      </c>
      <c r="C9" s="8"/>
      <c r="D9" s="8"/>
      <c r="E9" s="8"/>
      <c r="F9" s="7">
        <f>IF(G9="x",B9,0)</f>
        <v>80646.42857142858</v>
      </c>
      <c r="G9" s="34" t="s">
        <v>24</v>
      </c>
      <c r="H9" s="8"/>
      <c r="I9" s="8"/>
      <c r="J9" s="9"/>
    </row>
    <row r="10" spans="2:10" ht="15">
      <c r="B10" s="10"/>
      <c r="C10" s="8"/>
      <c r="D10" s="8"/>
      <c r="E10" s="8"/>
      <c r="F10" s="8"/>
      <c r="G10" s="8"/>
      <c r="H10" s="8"/>
      <c r="I10" s="8"/>
      <c r="J10" s="9"/>
    </row>
    <row r="11" spans="2:10" ht="15">
      <c r="B11" s="10" t="s">
        <v>35</v>
      </c>
      <c r="C11" s="8"/>
      <c r="D11" s="8"/>
      <c r="E11" s="8"/>
      <c r="F11" s="8"/>
      <c r="G11" s="22" t="s">
        <v>25</v>
      </c>
      <c r="H11" s="8"/>
      <c r="I11" s="8"/>
      <c r="J11" s="9"/>
    </row>
    <row r="12" spans="2:10" ht="15">
      <c r="B12" s="29">
        <f>'IMPORTI E PRATICHE'!D14*C12*D12</f>
        <v>55198</v>
      </c>
      <c r="C12" s="27">
        <v>0.22</v>
      </c>
      <c r="D12" s="7">
        <v>28</v>
      </c>
      <c r="E12" s="8"/>
      <c r="F12" s="7">
        <f>IF(G12="x",B12,0)</f>
        <v>55198</v>
      </c>
      <c r="G12" s="34" t="s">
        <v>24</v>
      </c>
      <c r="H12" s="8"/>
      <c r="I12" s="8"/>
      <c r="J12" s="9"/>
    </row>
    <row r="13" spans="2:10" ht="15">
      <c r="B13" s="10"/>
      <c r="C13" s="8"/>
      <c r="D13" s="8"/>
      <c r="E13" s="8"/>
      <c r="F13" s="8"/>
      <c r="G13" s="8"/>
      <c r="H13" s="8"/>
      <c r="I13" s="8"/>
      <c r="J13" s="9"/>
    </row>
    <row r="14" spans="2:10" ht="15">
      <c r="B14" s="10"/>
      <c r="C14" s="8"/>
      <c r="D14" s="8"/>
      <c r="E14" s="8"/>
      <c r="F14" s="8"/>
      <c r="G14" s="8"/>
      <c r="H14" s="8"/>
      <c r="I14" s="8"/>
      <c r="J14" s="9"/>
    </row>
    <row r="15" spans="2:10" ht="15">
      <c r="B15" s="10" t="s">
        <v>36</v>
      </c>
      <c r="C15" s="8"/>
      <c r="D15" s="8"/>
      <c r="E15" s="8"/>
      <c r="F15" s="8"/>
      <c r="G15" s="22" t="s">
        <v>25</v>
      </c>
      <c r="H15" s="8"/>
      <c r="I15" s="8"/>
      <c r="J15" s="9"/>
    </row>
    <row r="16" spans="2:10" ht="15">
      <c r="B16" s="29">
        <f>'COSTI ANNUI'!D3-B9</f>
        <v>98567.85714285716</v>
      </c>
      <c r="C16" s="8"/>
      <c r="D16" s="8"/>
      <c r="E16" s="8"/>
      <c r="F16" s="7">
        <f>IF(G16="X",B16,0)</f>
        <v>98567.85714285716</v>
      </c>
      <c r="G16" s="34" t="s">
        <v>24</v>
      </c>
      <c r="H16" s="8"/>
      <c r="I16" s="8"/>
      <c r="J16" s="9"/>
    </row>
    <row r="17" spans="2:10" ht="15">
      <c r="B17" s="10"/>
      <c r="C17" s="8"/>
      <c r="D17" s="8"/>
      <c r="E17" s="8"/>
      <c r="F17" s="8"/>
      <c r="G17" s="8"/>
      <c r="H17" s="8"/>
      <c r="I17" s="8"/>
      <c r="J17" s="9"/>
    </row>
    <row r="18" spans="2:10" ht="15">
      <c r="B18" s="10" t="s">
        <v>37</v>
      </c>
      <c r="C18" s="8"/>
      <c r="D18" s="8"/>
      <c r="E18" s="8"/>
      <c r="F18" s="8"/>
      <c r="G18" s="22" t="s">
        <v>25</v>
      </c>
      <c r="H18" s="8"/>
      <c r="I18" s="8"/>
      <c r="J18" s="9"/>
    </row>
    <row r="19" spans="2:10" ht="15">
      <c r="B19" s="29">
        <f>'IMPORTI E PRATICHE'!D14*C19*D19</f>
        <v>62725</v>
      </c>
      <c r="C19" s="27">
        <v>0.25</v>
      </c>
      <c r="D19" s="7">
        <v>28</v>
      </c>
      <c r="E19" s="8"/>
      <c r="F19" s="7">
        <f>IF(G19="X",B19,0)</f>
        <v>62725</v>
      </c>
      <c r="G19" s="34" t="s">
        <v>24</v>
      </c>
      <c r="H19" s="8"/>
      <c r="I19" s="8"/>
      <c r="J19" s="9"/>
    </row>
    <row r="20" spans="2:10" ht="15">
      <c r="B20" s="10"/>
      <c r="C20" s="8"/>
      <c r="D20" s="8"/>
      <c r="E20" s="8"/>
      <c r="F20" s="8"/>
      <c r="G20" s="8"/>
      <c r="H20" s="8"/>
      <c r="I20" s="8"/>
      <c r="J20" s="9"/>
    </row>
    <row r="21" spans="2:10" ht="15">
      <c r="B21" s="12"/>
      <c r="C21" s="14"/>
      <c r="D21" s="14" t="s">
        <v>38</v>
      </c>
      <c r="E21" s="14"/>
      <c r="F21" s="13">
        <f>F3+F6+F9+F12+F16+F19</f>
        <v>348185.28571428574</v>
      </c>
      <c r="G21" s="14"/>
      <c r="H21" s="14"/>
      <c r="I21" s="14"/>
      <c r="J21" s="16"/>
    </row>
    <row r="23" ht="15">
      <c r="B23" t="s">
        <v>58</v>
      </c>
    </row>
  </sheetData>
  <sheetProtection password="F152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4">
      <selection activeCell="E19" sqref="E19"/>
    </sheetView>
  </sheetViews>
  <sheetFormatPr defaultColWidth="9.140625" defaultRowHeight="15"/>
  <cols>
    <col min="2" max="2" width="19.8515625" style="0" customWidth="1"/>
    <col min="4" max="4" width="18.57421875" style="0" customWidth="1"/>
  </cols>
  <sheetData>
    <row r="2" spans="2:6" ht="15">
      <c r="B2" s="17" t="s">
        <v>41</v>
      </c>
      <c r="C2" s="5"/>
      <c r="D2" s="5"/>
      <c r="E2" s="5"/>
      <c r="F2" s="19"/>
    </row>
    <row r="3" spans="2:6" ht="15">
      <c r="B3" s="30">
        <f>'IMPORTI E PRATICHE'!B2*'COSTI ANNUI'!D14</f>
        <v>1021164.0000000002</v>
      </c>
      <c r="C3" s="8"/>
      <c r="D3" s="8"/>
      <c r="E3" s="8"/>
      <c r="F3" s="9"/>
    </row>
    <row r="4" spans="2:6" ht="15">
      <c r="B4" s="10"/>
      <c r="C4" s="8"/>
      <c r="D4" s="8"/>
      <c r="E4" s="8"/>
      <c r="F4" s="9"/>
    </row>
    <row r="5" spans="2:6" ht="15">
      <c r="B5" s="10" t="s">
        <v>39</v>
      </c>
      <c r="C5" s="8"/>
      <c r="D5" s="8"/>
      <c r="E5" s="8"/>
      <c r="F5" s="9"/>
    </row>
    <row r="6" spans="2:6" ht="15">
      <c r="B6" s="29">
        <f>'RICAVI ANNUI'!F21*'IMPORTI E PRATICHE'!B2</f>
        <v>1044555.8571428573</v>
      </c>
      <c r="C6" s="8"/>
      <c r="D6" s="8"/>
      <c r="E6" s="8"/>
      <c r="F6" s="9"/>
    </row>
    <row r="7" spans="2:6" ht="15">
      <c r="B7" s="10"/>
      <c r="C7" s="8"/>
      <c r="D7" s="8"/>
      <c r="E7" s="8"/>
      <c r="F7" s="9"/>
    </row>
    <row r="8" spans="2:6" ht="15">
      <c r="B8" s="10" t="s">
        <v>40</v>
      </c>
      <c r="C8" s="8"/>
      <c r="D8" s="8"/>
      <c r="E8" s="8"/>
      <c r="F8" s="9"/>
    </row>
    <row r="9" spans="2:6" ht="15">
      <c r="B9" s="29">
        <f>B6-B3</f>
        <v>23391.857142857043</v>
      </c>
      <c r="C9" s="8"/>
      <c r="D9" s="8"/>
      <c r="E9" s="8"/>
      <c r="F9" s="9"/>
    </row>
    <row r="10" spans="2:6" ht="15">
      <c r="B10" s="12" t="s">
        <v>57</v>
      </c>
      <c r="C10" s="14"/>
      <c r="D10" s="14"/>
      <c r="E10" s="14"/>
      <c r="F10" s="16"/>
    </row>
    <row r="12" spans="2:4" ht="15">
      <c r="B12" t="s">
        <v>42</v>
      </c>
      <c r="D12" s="2">
        <f>B6</f>
        <v>1044555.8571428573</v>
      </c>
    </row>
    <row r="15" spans="2:4" ht="15">
      <c r="B15" t="s">
        <v>43</v>
      </c>
      <c r="D15" s="3">
        <f>'RICAVI ANNUI'!F3+'RICAVI ANNUI'!F6+'RICAVI ANNUI'!F16+'RICAVI ANNUI'!F19</f>
        <v>212340.85714285716</v>
      </c>
    </row>
    <row r="17" spans="2:4" ht="15">
      <c r="B17" t="s">
        <v>45</v>
      </c>
      <c r="D17" s="3">
        <f>'RICAVI ANNUI'!F9+'RICAVI ANNUI'!F12</f>
        <v>135844.42857142858</v>
      </c>
    </row>
    <row r="19" ht="15">
      <c r="B19" t="s">
        <v>44</v>
      </c>
    </row>
  </sheetData>
  <sheetProtection password="F152" sheet="1" objects="1" scenarios="1"/>
  <conditionalFormatting sqref="B9">
    <cfRule type="cellIs" priority="1" dxfId="4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24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16.57421875" style="0" customWidth="1"/>
    <col min="3" max="3" width="14.57421875" style="0" customWidth="1"/>
    <col min="4" max="4" width="15.421875" style="0" customWidth="1"/>
    <col min="5" max="5" width="14.140625" style="0" bestFit="1" customWidth="1"/>
    <col min="6" max="6" width="11.57421875" style="0" bestFit="1" customWidth="1"/>
  </cols>
  <sheetData>
    <row r="4" ht="15">
      <c r="F4" t="s">
        <v>46</v>
      </c>
    </row>
    <row r="5" spans="2:6" ht="15">
      <c r="B5" t="s">
        <v>47</v>
      </c>
      <c r="F5" s="1">
        <v>3</v>
      </c>
    </row>
    <row r="7" ht="15">
      <c r="B7" t="s">
        <v>54</v>
      </c>
    </row>
    <row r="8" ht="15">
      <c r="B8" t="s">
        <v>52</v>
      </c>
    </row>
    <row r="9" spans="2:4" ht="15">
      <c r="B9" s="32" t="s">
        <v>48</v>
      </c>
      <c r="C9" s="32" t="s">
        <v>49</v>
      </c>
      <c r="D9" s="32" t="s">
        <v>50</v>
      </c>
    </row>
    <row r="10" spans="2:5" ht="15">
      <c r="B10" s="3">
        <f>'COSTI ANNUI'!D10+'COSTI ANNUI'!D12</f>
        <v>9200</v>
      </c>
      <c r="C10" s="3">
        <f>B10</f>
        <v>9200</v>
      </c>
      <c r="D10" s="3">
        <f>C10</f>
        <v>9200</v>
      </c>
      <c r="E10" s="3">
        <f>B10+C10+D10</f>
        <v>27600</v>
      </c>
    </row>
    <row r="11" ht="15">
      <c r="B11" t="s">
        <v>53</v>
      </c>
    </row>
    <row r="12" spans="2:4" ht="15">
      <c r="B12" s="24">
        <v>0.45</v>
      </c>
      <c r="C12" s="24">
        <v>0.3</v>
      </c>
      <c r="D12" s="24">
        <v>0.25</v>
      </c>
    </row>
    <row r="13" spans="2:5" ht="15">
      <c r="B13" s="3">
        <f>'COSTI ANNUI'!D7*'IMPORTI E PRATICHE'!B2*B12</f>
        <v>447103.8000000001</v>
      </c>
      <c r="C13" s="3">
        <f>'COSTI ANNUI'!D7*'IMPORTI E PRATICHE'!B2*C12</f>
        <v>298069.20000000007</v>
      </c>
      <c r="D13" s="3">
        <f>'COSTI ANNUI'!D7*'IMPORTI E PRATICHE'!B2*D12</f>
        <v>248391.00000000006</v>
      </c>
      <c r="E13" s="3">
        <f>B13+C13+D13</f>
        <v>993564.0000000002</v>
      </c>
    </row>
    <row r="14" ht="15">
      <c r="E14" s="3">
        <f>E10+E13</f>
        <v>1021164.0000000002</v>
      </c>
    </row>
    <row r="16" ht="15">
      <c r="B16" t="s">
        <v>55</v>
      </c>
    </row>
    <row r="17" spans="2:4" ht="15">
      <c r="B17" s="31">
        <v>0.3</v>
      </c>
      <c r="C17" s="31">
        <v>0.5</v>
      </c>
      <c r="D17" s="31">
        <v>0.2</v>
      </c>
    </row>
    <row r="18" spans="2:5" ht="15">
      <c r="B18" s="3">
        <f>'RICAVI ANNUI'!F21*'IMPORTI E PRATICHE'!B2*'CASH FLOW'!B17</f>
        <v>313366.7571428572</v>
      </c>
      <c r="C18" s="3">
        <f>'RICAVI ANNUI'!F21*'IMPORTI E PRATICHE'!B2*'CASH FLOW'!C17</f>
        <v>522277.92857142864</v>
      </c>
      <c r="D18" s="3">
        <f>'RICAVI ANNUI'!F21*'IMPORTI E PRATICHE'!B2*'CASH FLOW'!D17</f>
        <v>208911.17142857146</v>
      </c>
      <c r="E18" s="3">
        <f>SUM(B18:D18)</f>
        <v>1044555.8571428573</v>
      </c>
    </row>
    <row r="20" ht="15">
      <c r="B20" t="s">
        <v>56</v>
      </c>
    </row>
    <row r="22" spans="2:6" ht="15">
      <c r="B22" s="3">
        <f>B18-(B13+B10)</f>
        <v>-142937.04285714292</v>
      </c>
      <c r="C22" s="3">
        <f>C18-(C13+C10)</f>
        <v>215008.72857142857</v>
      </c>
      <c r="D22" s="3">
        <f>D18-(D13+D10)</f>
        <v>-48679.8285714286</v>
      </c>
      <c r="E22" s="3">
        <f>B22+C22+D22</f>
        <v>23391.857142857043</v>
      </c>
      <c r="F22" s="3"/>
    </row>
    <row r="24" ht="15">
      <c r="B24" t="s">
        <v>60</v>
      </c>
    </row>
  </sheetData>
  <sheetProtection password="EE92" sheet="1" objects="1" scenarios="1"/>
  <conditionalFormatting sqref="B22">
    <cfRule type="cellIs" priority="3" dxfId="4" operator="lessThan">
      <formula>0</formula>
    </cfRule>
  </conditionalFormatting>
  <conditionalFormatting sqref="D22">
    <cfRule type="cellIs" priority="2" dxfId="4" operator="lessThan">
      <formula>0</formula>
    </cfRule>
  </conditionalFormatting>
  <conditionalFormatting sqref="E22">
    <cfRule type="cellIs" priority="1" dxfId="4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Gollinucci</dc:creator>
  <cp:keywords/>
  <dc:description/>
  <cp:lastModifiedBy>Gianni Pantoli</cp:lastModifiedBy>
  <dcterms:created xsi:type="dcterms:W3CDTF">2016-11-16T13:26:49Z</dcterms:created>
  <dcterms:modified xsi:type="dcterms:W3CDTF">2016-12-02T11:39:23Z</dcterms:modified>
  <cp:category/>
  <cp:version/>
  <cp:contentType/>
  <cp:contentStatus/>
</cp:coreProperties>
</file>